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reen office\หมวดที่ 1\"/>
    </mc:Choice>
  </mc:AlternateContent>
  <xr:revisionPtr revIDLastSave="0" documentId="8_{C1CB00E9-62A9-445A-B226-FA5A297C14CB}" xr6:coauthVersionLast="40" xr6:coauthVersionMax="40" xr10:uidLastSave="{00000000-0000-0000-0000-000000000000}"/>
  <bookViews>
    <workbookView xWindow="0" yWindow="0" windowWidth="20490" windowHeight="7460" xr2:uid="{00000000-000D-0000-FFFF-FFFF00000000}"/>
  </bookViews>
  <sheets>
    <sheet name="สรุปการคำนวณ" sheetId="1" r:id="rId1"/>
    <sheet name="CH4จากระบบ septic tank" sheetId="4" r:id="rId2"/>
    <sheet name="CH4จากบ่อบำบัดไม่เติมอากาศ" sheetId="5" r:id="rId3"/>
  </sheets>
  <definedNames>
    <definedName name="_xlnm.Print_Area" localSheetId="0">สรุปการคำนวณ!$A$1:$AE$28</definedName>
  </definedNames>
  <calcPr calcId="191029"/>
</workbook>
</file>

<file path=xl/calcChain.xml><?xml version="1.0" encoding="utf-8"?>
<calcChain xmlns="http://schemas.openxmlformats.org/spreadsheetml/2006/main">
  <c r="I8" i="1" l="1"/>
  <c r="G8" i="1"/>
  <c r="I6" i="1" l="1"/>
  <c r="AC6" i="1"/>
  <c r="AC8" i="1"/>
  <c r="AC9" i="1"/>
  <c r="AC10" i="1"/>
  <c r="AA6" i="1"/>
  <c r="AA8" i="1"/>
  <c r="AA9" i="1"/>
  <c r="AA10" i="1"/>
  <c r="Y6" i="1"/>
  <c r="Y8" i="1"/>
  <c r="Y9" i="1"/>
  <c r="Y10" i="1"/>
  <c r="W6" i="1"/>
  <c r="W8" i="1"/>
  <c r="W9" i="1"/>
  <c r="W10" i="1"/>
  <c r="U6" i="1"/>
  <c r="U8" i="1"/>
  <c r="U9" i="1"/>
  <c r="U10" i="1"/>
  <c r="S6" i="1"/>
  <c r="S8" i="1"/>
  <c r="S9" i="1"/>
  <c r="S10" i="1"/>
  <c r="Q6" i="1"/>
  <c r="Q8" i="1"/>
  <c r="Q9" i="1"/>
  <c r="Q10" i="1"/>
  <c r="O6" i="1"/>
  <c r="O8" i="1"/>
  <c r="O9" i="1"/>
  <c r="O10" i="1"/>
  <c r="M6" i="1"/>
  <c r="M8" i="1"/>
  <c r="M9" i="1"/>
  <c r="M10" i="1"/>
  <c r="K6" i="1"/>
  <c r="K8" i="1"/>
  <c r="K9" i="1"/>
  <c r="K10" i="1"/>
  <c r="I9" i="1"/>
  <c r="I10" i="1"/>
  <c r="G6" i="1"/>
  <c r="G9" i="1"/>
  <c r="G10" i="1"/>
  <c r="O3" i="4"/>
  <c r="G23" i="4" s="1"/>
  <c r="O4" i="5"/>
  <c r="N12" i="5" s="1"/>
  <c r="N13" i="5" s="1"/>
  <c r="D4" i="5"/>
  <c r="C12" i="5" s="1"/>
  <c r="C13" i="5" s="1"/>
  <c r="E4" i="5"/>
  <c r="D12" i="5" s="1"/>
  <c r="D13" i="5" s="1"/>
  <c r="F4" i="5"/>
  <c r="E12" i="5" s="1"/>
  <c r="E13" i="5" s="1"/>
  <c r="G4" i="5"/>
  <c r="F12" i="5" s="1"/>
  <c r="F13" i="5" s="1"/>
  <c r="H4" i="5"/>
  <c r="G12" i="5" s="1"/>
  <c r="G13" i="5" s="1"/>
  <c r="I4" i="5"/>
  <c r="H12" i="5" s="1"/>
  <c r="H13" i="5" s="1"/>
  <c r="J4" i="5"/>
  <c r="I12" i="5" s="1"/>
  <c r="I13" i="5" s="1"/>
  <c r="K4" i="5"/>
  <c r="J12" i="5" s="1"/>
  <c r="J13" i="5" s="1"/>
  <c r="L4" i="5"/>
  <c r="K12" i="5" s="1"/>
  <c r="K13" i="5" s="1"/>
  <c r="M4" i="5"/>
  <c r="L12" i="5" s="1"/>
  <c r="L13" i="5" s="1"/>
  <c r="N4" i="5"/>
  <c r="M12" i="5" s="1"/>
  <c r="M13" i="5" s="1"/>
  <c r="C4" i="5"/>
  <c r="B12" i="5" s="1"/>
  <c r="B13" i="5" s="1"/>
  <c r="AD6" i="1" l="1"/>
  <c r="AD9" i="1"/>
  <c r="AD8" i="1"/>
  <c r="C18" i="1" s="1"/>
  <c r="AD10" i="1"/>
  <c r="C19" i="1" l="1"/>
  <c r="O2" i="4"/>
  <c r="J23" i="4" s="1"/>
  <c r="I23" i="4"/>
  <c r="Q2" i="4" l="1"/>
  <c r="G4" i="4" s="1"/>
  <c r="N7" i="1" s="1"/>
  <c r="O7" i="1" s="1"/>
  <c r="C23" i="4"/>
  <c r="D29" i="4"/>
  <c r="J4" i="4" l="1"/>
  <c r="T7" i="1" s="1"/>
  <c r="U7" i="1" s="1"/>
  <c r="D4" i="4"/>
  <c r="K4" i="4"/>
  <c r="W7" i="1" s="1"/>
  <c r="M4" i="4"/>
  <c r="AA7" i="1" s="1"/>
  <c r="E4" i="4"/>
  <c r="J7" i="1" s="1"/>
  <c r="K7" i="1" s="1"/>
  <c r="I4" i="4"/>
  <c r="R7" i="1" s="1"/>
  <c r="S7" i="1" s="1"/>
  <c r="C4" i="4"/>
  <c r="F7" i="1" s="1"/>
  <c r="G7" i="1" s="1"/>
  <c r="F4" i="4"/>
  <c r="L7" i="1" s="1"/>
  <c r="M7" i="1" s="1"/>
  <c r="L4" i="4"/>
  <c r="Y7" i="1" s="1"/>
  <c r="H4" i="4"/>
  <c r="P7" i="1" s="1"/>
  <c r="Q7" i="1" s="1"/>
  <c r="N4" i="4"/>
  <c r="AC7" i="1" s="1"/>
  <c r="H7" i="1" l="1"/>
  <c r="I7" i="1" s="1"/>
  <c r="AD7" i="1" s="1"/>
  <c r="O4" i="4"/>
  <c r="C17" i="1" l="1"/>
  <c r="C20" i="1" s="1"/>
  <c r="D19" i="1" s="1"/>
  <c r="AD11" i="1"/>
  <c r="D17" i="1" l="1"/>
  <c r="D20" i="1"/>
  <c r="D18" i="1"/>
</calcChain>
</file>

<file path=xl/sharedStrings.xml><?xml version="1.0" encoding="utf-8"?>
<sst xmlns="http://schemas.openxmlformats.org/spreadsheetml/2006/main" count="153" uniqueCount="89">
  <si>
    <t>ขอบเขตการดำเนินงาน</t>
  </si>
  <si>
    <t>ปริมาณ</t>
  </si>
  <si>
    <t>EF</t>
  </si>
  <si>
    <t>หน่วย</t>
  </si>
  <si>
    <t>ประเภท 1</t>
  </si>
  <si>
    <t>ลิตร</t>
  </si>
  <si>
    <t>ประเภท 2</t>
  </si>
  <si>
    <t>การใช้พลังงานไฟฟ้า</t>
  </si>
  <si>
    <t>kWh</t>
  </si>
  <si>
    <t>ประเภท 3</t>
  </si>
  <si>
    <t>kg</t>
  </si>
  <si>
    <t>m3</t>
  </si>
  <si>
    <t>CF</t>
  </si>
  <si>
    <t>kg CO2e/ลิตร</t>
  </si>
  <si>
    <t>kg CO2e/kWh</t>
  </si>
  <si>
    <t>kg CO2e/kg</t>
  </si>
  <si>
    <t>kg CO2e/m3</t>
  </si>
  <si>
    <t>รายการ</t>
  </si>
  <si>
    <t>ม.ค.</t>
  </si>
  <si>
    <t>ก.พ.</t>
  </si>
  <si>
    <t>มี.ค.</t>
  </si>
  <si>
    <t>เม.ย.</t>
  </si>
  <si>
    <t>พ.ย.</t>
  </si>
  <si>
    <t>ก.ค.</t>
  </si>
  <si>
    <t>ส.ค.</t>
  </si>
  <si>
    <t>ก.ย.</t>
  </si>
  <si>
    <t>ต.ค.</t>
  </si>
  <si>
    <t>ธ.ค.</t>
  </si>
  <si>
    <t>รวม</t>
  </si>
  <si>
    <t>GHG</t>
  </si>
  <si>
    <t>tCO2e</t>
  </si>
  <si>
    <t>การใช้กระดาษ A4 และ A3 (สีขาว)</t>
  </si>
  <si>
    <t>kgCH4</t>
  </si>
  <si>
    <t>การคำนวณ CH4 จาก Septic tank</t>
  </si>
  <si>
    <t>ข้อมูล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</si>
  <si>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</si>
  <si>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</si>
  <si>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</si>
  <si>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</si>
  <si>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</si>
  <si>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</si>
  <si>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</si>
  <si>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</si>
  <si>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</si>
  <si>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</si>
  <si>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</si>
  <si>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</si>
  <si>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</si>
  <si>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kg CO2e/kgCH4</t>
  </si>
  <si>
    <t xml:space="preserve">Ui </t>
  </si>
  <si>
    <t>Tij</t>
  </si>
  <si>
    <t>Efj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</si>
  <si>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</si>
  <si>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</si>
  <si>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>CH4 Emission</t>
  </si>
  <si>
    <t>จำนวนพนักงานเฉลี่ย</t>
  </si>
  <si>
    <t>หมายหตุ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</si>
  <si>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</si>
  <si>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ปริมาณน้ำเสียเฉลี่ย (ลบ.ม)</t>
  </si>
  <si>
    <t>CH4 (kgCH4)</t>
  </si>
  <si>
    <t>%</t>
  </si>
  <si>
    <t>จำนวนพนักงานองค์กร</t>
  </si>
  <si>
    <t>จำนวนวันเปิดบริการ/ทำการ</t>
  </si>
  <si>
    <t>หมายเหตุ -  การปล่อยก๊าซเรือนกระจกจากระบบ septic tank  คำนวณเฉพาะประชากรพนักงานขององค์กรเท่านั้น</t>
  </si>
  <si>
    <t>พ.ค.</t>
  </si>
  <si>
    <t>มิ.ย.</t>
  </si>
  <si>
    <t>Wi = ปริมาณน้ำเสีย (ลบ.ม.)</t>
  </si>
  <si>
    <t>S = สารอินทรีย์ที่ถูกกำจัดในรูปของสลัดจ์ (กิโลกรัม COD)</t>
  </si>
  <si>
    <t>ปริมาณน้ำใช้ในรอบปี m3</t>
  </si>
  <si>
    <t>ปริมาณน้ำเสียคิดเป็น 80% m3</t>
  </si>
  <si>
    <t>น้ำประปา-การประปาส่วนภูมิภาค</t>
  </si>
  <si>
    <t>จำนวนวัน
ทำงาน</t>
  </si>
  <si>
    <t>TOW
BOD</t>
  </si>
  <si>
    <t>ค่า fix ห้ามแก้</t>
  </si>
  <si>
    <t xml:space="preserve">EF   =  0.6 kg CH4 / kg BOD  x  0.5  
       =  0.3 kg CH4 / kg BOD </t>
  </si>
  <si>
    <t>(มาจากแถวที่ 23)</t>
  </si>
  <si>
    <t xml:space="preserve">สมมุติฐานถังบำบัดน้ำเสีย
จากห้องน้ำแบบไม่เติมอากาศ  </t>
  </si>
  <si>
    <t>สมการการคำนวณปริมาณมีเทนจากระบบ แบบไม่เติมอากาศ = 0.2 × [(Wi × CODin)-S]</t>
  </si>
  <si>
    <t>COD = ความต้องการออกซิเจนทางเคมีของน้ำเสียขาเข้า kgCODin/L</t>
  </si>
  <si>
    <t>ปีคำนวณ ................</t>
  </si>
  <si>
    <t>หน่วย
การเก็บข้อมูล</t>
  </si>
  <si>
    <t>โปรแกรมการคำนวณคาร์บอนฟุตพริ้นท์พัฒนาโดย องค์การบริหารจัดการก๊าซเรือนกระจก (องค์การมหาชน) หรือ อบก.</t>
  </si>
  <si>
    <t>แบบฟอร์ม 1.5(1)</t>
  </si>
  <si>
    <t>ขอบเขตดำเนินงาน</t>
  </si>
  <si>
    <t>.</t>
  </si>
  <si>
    <t>เดือน / ประจำปี 2563</t>
  </si>
  <si>
    <t>การใช้น้ำมันดีเซลสำหรับรถตู้คณะ</t>
  </si>
  <si>
    <t>การปล่อยสารมีเทนจากระบบ septic tank</t>
  </si>
  <si>
    <t>ประจำปี 2563 (มค-กค)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</si>
</sst>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"/>
    <numFmt numFmtId="165" formatCode="_(* #,##0.00_);_(* \(#,##0.00\);_(* &quot;-&quot;??_);_(@_)"/>
    <numFmt numFmtId="166" formatCode="_-* #,##0_-;\-* #,##0_-;_-* &quot;-&quot;??_-;_-@_-"/>
  </numFmts>
  <fonts count="18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b/>
      <sz val="16"/>
      <name val="Cordia New"/>
      <family val="2"/>
    </font>
    <font>
      <b/>
      <sz val="16"/>
      <color rgb="FFFF0000"/>
      <name val="Cordia New"/>
      <family val="2"/>
    </font>
    <font>
      <sz val="16"/>
      <name val="Cordia New"/>
      <family val="2"/>
    </font>
    <font>
      <b/>
      <u/>
      <sz val="16"/>
      <color theme="1"/>
      <name val="Cordia New"/>
      <family val="2"/>
    </font>
    <font>
      <b/>
      <sz val="20"/>
      <color rgb="FFFF0000"/>
      <name val="Cordia New"/>
      <family val="2"/>
    </font>
    <font>
      <b/>
      <sz val="20"/>
      <color theme="1"/>
      <name val="Cordia New"/>
      <family val="2"/>
    </font>
    <font>
      <sz val="16"/>
      <color rgb="FF000000"/>
      <name val="Cordia New"/>
      <family val="2"/>
    </font>
    <font>
      <b/>
      <sz val="16"/>
      <color rgb="FF000000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b/>
      <sz val="12"/>
      <name val="Cordia New"/>
      <family val="2"/>
    </font>
    <font>
      <sz val="14"/>
      <color rgb="FFFF0000"/>
      <name val="Cordia New"/>
      <family val="2"/>
    </font>
    <font>
      <b/>
      <sz val="14"/>
      <color theme="1"/>
      <name val="Cordia New"/>
      <family val="2"/>
    </font>
    <font>
      <sz val="14"/>
      <color theme="1"/>
      <name val="Cordia Ne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2DCDB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104">
    <xf numFmtId="0" fontId="0" fillId="0" borderId="0" xfId="0"/>
    <xf numFmtId="0" fontId="5" fillId="2" borderId="1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1" applyFont="1" applyFill="1" applyBorder="1"/>
    <xf numFmtId="0" fontId="8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6" fillId="3" borderId="0" xfId="1" applyFont="1" applyFill="1"/>
    <xf numFmtId="0" fontId="7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43" fontId="5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43" fontId="2" fillId="3" borderId="0" xfId="0" applyNumberFormat="1" applyFont="1" applyFill="1" applyAlignment="1">
      <alignment vertical="center"/>
    </xf>
    <xf numFmtId="0" fontId="6" fillId="5" borderId="1" xfId="1" applyFont="1" applyFill="1" applyBorder="1"/>
    <xf numFmtId="166" fontId="6" fillId="2" borderId="1" xfId="1" applyNumberFormat="1" applyFont="1" applyFill="1" applyBorder="1"/>
    <xf numFmtId="0" fontId="9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10" fillId="8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1" fillId="8" borderId="0" xfId="0" applyFont="1" applyFill="1"/>
    <xf numFmtId="0" fontId="6" fillId="3" borderId="0" xfId="0" applyFont="1" applyFill="1" applyBorder="1" applyAlignment="1"/>
    <xf numFmtId="0" fontId="6" fillId="2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right" vertical="center"/>
    </xf>
    <xf numFmtId="4" fontId="13" fillId="3" borderId="0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top" wrapText="1"/>
    </xf>
    <xf numFmtId="4" fontId="13" fillId="3" borderId="1" xfId="0" applyNumberFormat="1" applyFont="1" applyFill="1" applyBorder="1" applyAlignment="1">
      <alignment horizontal="center" vertical="top" wrapText="1"/>
    </xf>
    <xf numFmtId="1" fontId="13" fillId="3" borderId="1" xfId="0" applyNumberFormat="1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horizontal="center" vertical="top" wrapText="1"/>
    </xf>
    <xf numFmtId="4" fontId="13" fillId="3" borderId="0" xfId="0" applyNumberFormat="1" applyFont="1" applyFill="1" applyBorder="1" applyAlignment="1">
      <alignment horizontal="center" vertical="top" wrapText="1"/>
    </xf>
    <xf numFmtId="1" fontId="13" fillId="3" borderId="0" xfId="0" applyNumberFormat="1" applyFont="1" applyFill="1" applyBorder="1" applyAlignment="1">
      <alignment horizontal="center" vertical="top" wrapText="1"/>
    </xf>
    <xf numFmtId="0" fontId="12" fillId="3" borderId="0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center" wrapText="1"/>
    </xf>
    <xf numFmtId="4" fontId="13" fillId="9" borderId="1" xfId="0" applyNumberFormat="1" applyFont="1" applyFill="1" applyBorder="1" applyAlignment="1">
      <alignment horizontal="center" vertical="top" wrapText="1"/>
    </xf>
    <xf numFmtId="1" fontId="13" fillId="9" borderId="1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4" fontId="17" fillId="0" borderId="0" xfId="0" applyNumberFormat="1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164" fontId="17" fillId="3" borderId="1" xfId="0" applyNumberFormat="1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164" fontId="13" fillId="3" borderId="1" xfId="0" applyNumberFormat="1" applyFont="1" applyFill="1" applyBorder="1" applyAlignment="1">
      <alignment horizontal="center" vertical="center" wrapText="1"/>
    </xf>
    <xf numFmtId="166" fontId="12" fillId="3" borderId="1" xfId="0" applyNumberFormat="1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</cellXfs>
  <cellStyles count="3">
    <cellStyle name="Comma 2" xfId="2" xr:uid="{00000000-0005-0000-0000-000000000000}"/>
    <cellStyle name="Normal 2 2" xfId="1" xr:uid="{00000000-0005-0000-0000-000002000000}"/>
    <cellStyle name="ปกติ" xfId="0" builtinId="0"/>
  </cellStyles>
  <dxfs count="0"/>
  <tableStyles count="0" defaultTableStyle="TableStyleMedium9" defaultPivotStyle="PivotStyleLight16"/>
  <colors>
    <mruColors>
      <color rgb="FF006600"/>
      <color rgb="FF0000CC"/>
      <color rgb="FF0066FF"/>
      <color rgb="FF33CC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232552462442826E-2"/>
          <c:y val="0.1593517642361304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0-8AF9-4E68-B5F7-681C0FAA258E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1-8AF9-4E68-B5F7-681C0FAA258E}"/>
              </c:ext>
            </c:extLst>
          </c:dPt>
          <c:cat>
            <c:strRef>
              <c:f>สรุปการคำนวณ!$B$17:$B$19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สรุปการคำนวณ!$C$17:$C$19</c:f>
              <c:numCache>
                <c:formatCode>#,##0.00</c:formatCode>
                <c:ptCount val="3"/>
                <c:pt idx="0">
                  <c:v>2.8533284159999996</c:v>
                </c:pt>
                <c:pt idx="1">
                  <c:v>48.408891250000003</c:v>
                </c:pt>
                <c:pt idx="2">
                  <c:v>0.92020289700000002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F9-4E68-B5F7-681C0FAA2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7067984"/>
        <c:axId val="186398616"/>
        <c:axId val="0"/>
      </c:bar3DChart>
      <c:catAx>
        <c:axId val="187067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398616"/>
        <c:crosses val="autoZero"/>
        <c:auto val="1"/>
        <c:lblAlgn val="ctr"/>
        <c:lblOffset val="100"/>
        <c:noMultiLvlLbl val="0"/>
      </c:catAx>
      <c:valAx>
        <c:axId val="186398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187067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257735</xdr:colOff>
      <xdr:row>13</xdr:row>
      <xdr:rowOff>212911</xdr:rowOff>
    </xdr:from>
    <xdr:to>
      <xdr:col>25</xdr:col>
      <xdr:colOff>51955</xdr:colOff>
      <xdr:row>29</xdr:row>
      <xdr:rowOff>224117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225136</xdr:colOff>
      <xdr:row>14</xdr:row>
      <xdr:rowOff>155864</xdr:rowOff>
    </xdr:from>
    <xdr:to>
      <xdr:col>22</xdr:col>
      <xdr:colOff>17317</xdr:colOff>
      <xdr:row>16</xdr:row>
      <xdr:rowOff>69273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174181" y="7637319"/>
          <a:ext cx="5870863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ปริมาณการปล่อยก๊าซเรือนกระจำประจำปี.......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3102428</xdr:colOff>
      <xdr:row>11</xdr:row>
      <xdr:rowOff>164986</xdr:rowOff>
    </xdr:from>
    <xdr:to>
      <xdr:col>7</xdr:col>
      <xdr:colOff>680356</xdr:colOff>
      <xdr:row>14</xdr:row>
      <xdr:rowOff>204109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102428" y="4070236"/>
          <a:ext cx="6735535" cy="216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340178</xdr:colOff>
      <xdr:row>14</xdr:row>
      <xdr:rowOff>168966</xdr:rowOff>
    </xdr:from>
    <xdr:to>
      <xdr:col>7</xdr:col>
      <xdr:colOff>571500</xdr:colOff>
      <xdr:row>20</xdr:row>
      <xdr:rowOff>27214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9821" y="6047252"/>
          <a:ext cx="6259286" cy="1654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3129642</xdr:colOff>
      <xdr:row>6</xdr:row>
      <xdr:rowOff>23813</xdr:rowOff>
    </xdr:from>
    <xdr:to>
      <xdr:col>7</xdr:col>
      <xdr:colOff>680356</xdr:colOff>
      <xdr:row>11</xdr:row>
      <xdr:rowOff>268818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129642" y="1819956"/>
          <a:ext cx="6708321" cy="2354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765071</xdr:colOff>
      <xdr:row>4</xdr:row>
      <xdr:rowOff>221116</xdr:rowOff>
    </xdr:from>
    <xdr:to>
      <xdr:col>15</xdr:col>
      <xdr:colOff>27214</xdr:colOff>
      <xdr:row>19</xdr:row>
      <xdr:rowOff>81644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22678" y="1486580"/>
          <a:ext cx="5793572" cy="62830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1"/>
  <sheetViews>
    <sheetView tabSelected="1" topLeftCell="C1" zoomScaleNormal="100" zoomScaleSheetLayoutView="100" workbookViewId="0">
      <selection activeCell="L7" sqref="L7"/>
    </sheetView>
  </sheetViews>
  <sheetFormatPr defaultColWidth="9" defaultRowHeight="25" customHeight="1"/>
  <cols>
    <col min="1" max="1" width="12.08984375" style="61" customWidth="1"/>
    <col min="2" max="2" width="44" style="62" customWidth="1"/>
    <col min="3" max="3" width="9.7265625" style="62" customWidth="1"/>
    <col min="4" max="4" width="16.453125" style="62" customWidth="1"/>
    <col min="5" max="5" width="10.7265625" style="62" customWidth="1"/>
    <col min="6" max="6" width="8.26953125" style="62" customWidth="1"/>
    <col min="7" max="7" width="8.7265625" style="62" customWidth="1"/>
    <col min="8" max="8" width="9.26953125" style="62" customWidth="1"/>
    <col min="9" max="9" width="8" style="62" customWidth="1"/>
    <col min="10" max="10" width="8.26953125" style="62" customWidth="1"/>
    <col min="11" max="11" width="8.08984375" style="62" customWidth="1"/>
    <col min="12" max="12" width="6.90625" style="62" customWidth="1"/>
    <col min="13" max="13" width="8.453125" style="62" customWidth="1"/>
    <col min="14" max="14" width="7.90625" style="62" customWidth="1"/>
    <col min="15" max="15" width="9" style="62" customWidth="1"/>
    <col min="16" max="16" width="7.36328125" style="62" customWidth="1"/>
    <col min="17" max="17" width="8.26953125" style="62" customWidth="1"/>
    <col min="18" max="18" width="8.90625" style="62" customWidth="1"/>
    <col min="19" max="19" width="7" style="62" customWidth="1"/>
    <col min="20" max="20" width="6.36328125" style="62" customWidth="1"/>
    <col min="21" max="21" width="8.08984375" style="62" customWidth="1"/>
    <col min="22" max="22" width="6.26953125" style="62" customWidth="1"/>
    <col min="23" max="23" width="5.6328125" style="62" customWidth="1"/>
    <col min="24" max="24" width="6.08984375" style="62" customWidth="1"/>
    <col min="25" max="25" width="5.6328125" style="62" customWidth="1"/>
    <col min="26" max="26" width="6.36328125" style="62" customWidth="1"/>
    <col min="27" max="27" width="5.6328125" style="62" customWidth="1"/>
    <col min="28" max="28" width="6.26953125" style="62" customWidth="1"/>
    <col min="29" max="29" width="5.6328125" style="62" customWidth="1"/>
    <col min="30" max="30" width="9.36328125" style="62" customWidth="1"/>
    <col min="31" max="31" width="9" style="62"/>
    <col min="32" max="32" width="9" style="35" customWidth="1"/>
    <col min="33" max="16384" width="9" style="35"/>
  </cols>
  <sheetData>
    <row r="1" spans="1:44" ht="25" customHeight="1">
      <c r="AC1" s="62" t="s">
        <v>82</v>
      </c>
    </row>
    <row r="2" spans="1:44" ht="25" customHeight="1">
      <c r="A2" s="93" t="s">
        <v>81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5"/>
    </row>
    <row r="3" spans="1:44" s="37" customFormat="1" ht="25" customHeight="1">
      <c r="A3" s="96" t="s">
        <v>0</v>
      </c>
      <c r="B3" s="96" t="s">
        <v>17</v>
      </c>
      <c r="C3" s="96" t="s">
        <v>2</v>
      </c>
      <c r="D3" s="96" t="s">
        <v>3</v>
      </c>
      <c r="E3" s="96" t="s">
        <v>80</v>
      </c>
      <c r="F3" s="97" t="s">
        <v>85</v>
      </c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89" t="s">
        <v>3</v>
      </c>
    </row>
    <row r="4" spans="1:44" s="37" customFormat="1" ht="25" customHeight="1">
      <c r="A4" s="96"/>
      <c r="B4" s="96"/>
      <c r="C4" s="96"/>
      <c r="D4" s="96"/>
      <c r="E4" s="96"/>
      <c r="F4" s="57" t="s">
        <v>18</v>
      </c>
      <c r="G4" s="57"/>
      <c r="H4" s="57" t="s">
        <v>19</v>
      </c>
      <c r="I4" s="57"/>
      <c r="J4" s="57" t="s">
        <v>20</v>
      </c>
      <c r="K4" s="57"/>
      <c r="L4" s="57" t="s">
        <v>21</v>
      </c>
      <c r="M4" s="57"/>
      <c r="N4" s="57" t="s">
        <v>64</v>
      </c>
      <c r="O4" s="57"/>
      <c r="P4" s="57" t="s">
        <v>65</v>
      </c>
      <c r="Q4" s="57"/>
      <c r="R4" s="88" t="s">
        <v>23</v>
      </c>
      <c r="S4" s="88"/>
      <c r="T4" s="88" t="s">
        <v>24</v>
      </c>
      <c r="U4" s="88"/>
      <c r="V4" s="88" t="s">
        <v>25</v>
      </c>
      <c r="W4" s="88"/>
      <c r="X4" s="88" t="s">
        <v>26</v>
      </c>
      <c r="Y4" s="88"/>
      <c r="Z4" s="88" t="s">
        <v>64</v>
      </c>
      <c r="AA4" s="88"/>
      <c r="AB4" s="88" t="s">
        <v>27</v>
      </c>
      <c r="AC4" s="88"/>
      <c r="AD4" s="99" t="s">
        <v>28</v>
      </c>
      <c r="AE4" s="101"/>
    </row>
    <row r="5" spans="1:44" s="37" customFormat="1" ht="25" customHeight="1">
      <c r="A5" s="96"/>
      <c r="B5" s="96"/>
      <c r="C5" s="96"/>
      <c r="D5" s="96"/>
      <c r="E5" s="96"/>
      <c r="F5" s="49" t="s">
        <v>1</v>
      </c>
      <c r="G5" s="49" t="s">
        <v>12</v>
      </c>
      <c r="H5" s="49" t="s">
        <v>1</v>
      </c>
      <c r="I5" s="49" t="s">
        <v>12</v>
      </c>
      <c r="J5" s="49" t="s">
        <v>1</v>
      </c>
      <c r="K5" s="49" t="s">
        <v>12</v>
      </c>
      <c r="L5" s="49" t="s">
        <v>1</v>
      </c>
      <c r="M5" s="49" t="s">
        <v>12</v>
      </c>
      <c r="N5" s="49" t="s">
        <v>1</v>
      </c>
      <c r="O5" s="49" t="s">
        <v>12</v>
      </c>
      <c r="P5" s="49" t="s">
        <v>1</v>
      </c>
      <c r="Q5" s="49" t="s">
        <v>12</v>
      </c>
      <c r="R5" s="49" t="s">
        <v>1</v>
      </c>
      <c r="S5" s="49" t="s">
        <v>12</v>
      </c>
      <c r="T5" s="49" t="s">
        <v>1</v>
      </c>
      <c r="U5" s="49" t="s">
        <v>12</v>
      </c>
      <c r="V5" s="49" t="s">
        <v>1</v>
      </c>
      <c r="W5" s="49" t="s">
        <v>12</v>
      </c>
      <c r="X5" s="49" t="s">
        <v>1</v>
      </c>
      <c r="Y5" s="49" t="s">
        <v>12</v>
      </c>
      <c r="Z5" s="49" t="s">
        <v>1</v>
      </c>
      <c r="AA5" s="49" t="s">
        <v>12</v>
      </c>
      <c r="AB5" s="49" t="s">
        <v>1</v>
      </c>
      <c r="AC5" s="49" t="s">
        <v>12</v>
      </c>
      <c r="AD5" s="100"/>
      <c r="AE5" s="90"/>
    </row>
    <row r="6" spans="1:44" ht="25" customHeight="1">
      <c r="A6" s="89" t="s">
        <v>4</v>
      </c>
      <c r="B6" s="58" t="s">
        <v>86</v>
      </c>
      <c r="C6" s="70">
        <v>2.7446000000000002</v>
      </c>
      <c r="D6" s="71" t="s">
        <v>13</v>
      </c>
      <c r="E6" s="71" t="s">
        <v>5</v>
      </c>
      <c r="F6" s="71">
        <v>164.32</v>
      </c>
      <c r="G6" s="72">
        <f t="shared" ref="G6:G10" si="0">F6*C6</f>
        <v>450.99267200000003</v>
      </c>
      <c r="H6" s="71">
        <v>169.49</v>
      </c>
      <c r="I6" s="72">
        <f>H6*C6</f>
        <v>465.18225400000006</v>
      </c>
      <c r="J6" s="73">
        <v>66.17</v>
      </c>
      <c r="K6" s="72">
        <f t="shared" ref="K6:K10" si="1">J6*C6</f>
        <v>181.61018200000001</v>
      </c>
      <c r="L6" s="71">
        <v>0</v>
      </c>
      <c r="M6" s="72">
        <f t="shared" ref="M6:M10" si="2">L6*C6</f>
        <v>0</v>
      </c>
      <c r="N6" s="71">
        <v>178.12</v>
      </c>
      <c r="O6" s="72">
        <f t="shared" ref="O6:O10" si="3">N6*C6</f>
        <v>488.86815200000007</v>
      </c>
      <c r="P6" s="71">
        <v>99.63</v>
      </c>
      <c r="Q6" s="72">
        <f t="shared" ref="Q6:Q10" si="4">P6*C6</f>
        <v>273.44449800000001</v>
      </c>
      <c r="R6" s="71">
        <v>119.21</v>
      </c>
      <c r="S6" s="72">
        <f t="shared" ref="S6:S10" si="5">R6*C6</f>
        <v>327.18376599999999</v>
      </c>
      <c r="T6" s="71">
        <v>20.02</v>
      </c>
      <c r="U6" s="72">
        <f t="shared" ref="U6:U10" si="6">T6*C6</f>
        <v>54.946892000000005</v>
      </c>
      <c r="V6" s="71"/>
      <c r="W6" s="72">
        <f t="shared" ref="W6:W10" si="7">V6*C6</f>
        <v>0</v>
      </c>
      <c r="X6" s="71"/>
      <c r="Y6" s="72">
        <f t="shared" ref="Y6:Y10" si="8">X6*C6</f>
        <v>0</v>
      </c>
      <c r="Z6" s="71"/>
      <c r="AA6" s="72">
        <f t="shared" ref="AA6:AA10" si="9">Z6*C6</f>
        <v>0</v>
      </c>
      <c r="AB6" s="71"/>
      <c r="AC6" s="72">
        <f t="shared" ref="AC6:AC10" si="10">AB6*C6</f>
        <v>0</v>
      </c>
      <c r="AD6" s="74">
        <f t="shared" ref="AD6:AD10" si="11">G6+I6+K6+M6+O6+Q6+S6+U6+W6+Y6+AA6+AC6</f>
        <v>2242.2284159999999</v>
      </c>
      <c r="AE6" s="71" t="s">
        <v>30</v>
      </c>
    </row>
    <row r="7" spans="1:44" ht="25" customHeight="1">
      <c r="A7" s="90"/>
      <c r="B7" s="58" t="s">
        <v>87</v>
      </c>
      <c r="C7" s="75">
        <v>25</v>
      </c>
      <c r="D7" s="59" t="s">
        <v>48</v>
      </c>
      <c r="E7" s="59" t="s">
        <v>32</v>
      </c>
      <c r="F7" s="85">
        <f>'CH4จากระบบ septic tank'!$C$4</f>
        <v>3.6</v>
      </c>
      <c r="G7" s="76">
        <f>F7*C7</f>
        <v>90</v>
      </c>
      <c r="H7" s="77">
        <f>'CH4จากระบบ septic tank'!$D$4</f>
        <v>3.6</v>
      </c>
      <c r="I7" s="76">
        <f t="shared" ref="I7:I10" si="12">H7*C7</f>
        <v>90</v>
      </c>
      <c r="J7" s="77">
        <f>'CH4จากระบบ septic tank'!$E$4</f>
        <v>3.7800000000000002</v>
      </c>
      <c r="K7" s="76">
        <f t="shared" si="1"/>
        <v>94.5</v>
      </c>
      <c r="L7" s="77">
        <f>'CH4จากระบบ septic tank'!$F$4</f>
        <v>1.8480000000000001</v>
      </c>
      <c r="M7" s="76">
        <f t="shared" si="2"/>
        <v>46.2</v>
      </c>
      <c r="N7" s="77">
        <f>'CH4จากระบบ septic tank'!$G$4</f>
        <v>1.764</v>
      </c>
      <c r="O7" s="76">
        <f t="shared" si="3"/>
        <v>44.1</v>
      </c>
      <c r="P7" s="77">
        <f>'CH4จากระบบ septic tank'!$H$4</f>
        <v>1.9319999999999999</v>
      </c>
      <c r="Q7" s="76">
        <f t="shared" si="4"/>
        <v>48.3</v>
      </c>
      <c r="R7" s="77">
        <f>'CH4จากระบบ septic tank'!$I$4</f>
        <v>4.1399999999999997</v>
      </c>
      <c r="S7" s="76">
        <f t="shared" si="5"/>
        <v>103.49999999999999</v>
      </c>
      <c r="T7" s="77">
        <f>'CH4จากระบบ septic tank'!$J$4</f>
        <v>3.7800000000000002</v>
      </c>
      <c r="U7" s="76">
        <f t="shared" si="6"/>
        <v>94.5</v>
      </c>
      <c r="V7" s="77"/>
      <c r="W7" s="76">
        <f t="shared" si="7"/>
        <v>0</v>
      </c>
      <c r="X7" s="77"/>
      <c r="Y7" s="76">
        <f t="shared" si="8"/>
        <v>0</v>
      </c>
      <c r="Z7" s="77"/>
      <c r="AA7" s="76">
        <f t="shared" si="9"/>
        <v>0</v>
      </c>
      <c r="AB7" s="77"/>
      <c r="AC7" s="76">
        <f t="shared" si="10"/>
        <v>0</v>
      </c>
      <c r="AD7" s="78">
        <f t="shared" si="11"/>
        <v>611.1</v>
      </c>
      <c r="AE7" s="59" t="s">
        <v>30</v>
      </c>
    </row>
    <row r="8" spans="1:44" s="83" customFormat="1" ht="25" customHeight="1">
      <c r="A8" s="79" t="s">
        <v>6</v>
      </c>
      <c r="B8" s="79" t="s">
        <v>7</v>
      </c>
      <c r="C8" s="80">
        <v>0.58209999999999995</v>
      </c>
      <c r="D8" s="79" t="s">
        <v>14</v>
      </c>
      <c r="E8" s="79" t="s">
        <v>8</v>
      </c>
      <c r="F8" s="79">
        <v>14017.5</v>
      </c>
      <c r="G8" s="81">
        <f>F8*C8</f>
        <v>8159.5867499999995</v>
      </c>
      <c r="H8" s="79">
        <v>16872</v>
      </c>
      <c r="I8" s="81">
        <f>H8*C8</f>
        <v>9821.1911999999993</v>
      </c>
      <c r="J8" s="79">
        <v>14739</v>
      </c>
      <c r="K8" s="81">
        <f t="shared" si="1"/>
        <v>8579.571899999999</v>
      </c>
      <c r="L8" s="79">
        <v>5283</v>
      </c>
      <c r="M8" s="81">
        <f t="shared" si="2"/>
        <v>3075.2342999999996</v>
      </c>
      <c r="N8" s="79">
        <v>2031</v>
      </c>
      <c r="O8" s="81">
        <f t="shared" si="3"/>
        <v>1182.2450999999999</v>
      </c>
      <c r="P8" s="79">
        <v>4284</v>
      </c>
      <c r="Q8" s="81">
        <f t="shared" si="4"/>
        <v>2493.7163999999998</v>
      </c>
      <c r="R8" s="79">
        <v>11593</v>
      </c>
      <c r="S8" s="81">
        <f t="shared" si="5"/>
        <v>6748.2852999999996</v>
      </c>
      <c r="T8" s="79">
        <v>14343</v>
      </c>
      <c r="U8" s="81">
        <f t="shared" si="6"/>
        <v>8349.0602999999992</v>
      </c>
      <c r="V8" s="79"/>
      <c r="W8" s="81">
        <f t="shared" si="7"/>
        <v>0</v>
      </c>
      <c r="X8" s="79"/>
      <c r="Y8" s="81">
        <f t="shared" si="8"/>
        <v>0</v>
      </c>
      <c r="Z8" s="79"/>
      <c r="AA8" s="81">
        <f t="shared" si="9"/>
        <v>0</v>
      </c>
      <c r="AB8" s="79"/>
      <c r="AC8" s="81">
        <f t="shared" si="10"/>
        <v>0</v>
      </c>
      <c r="AD8" s="82">
        <f t="shared" si="11"/>
        <v>48408.891250000001</v>
      </c>
      <c r="AE8" s="79" t="s">
        <v>30</v>
      </c>
    </row>
    <row r="9" spans="1:44" ht="25" customHeight="1">
      <c r="A9" s="91" t="s">
        <v>9</v>
      </c>
      <c r="B9" s="79" t="s">
        <v>31</v>
      </c>
      <c r="C9" s="80">
        <v>2.0859000000000001</v>
      </c>
      <c r="D9" s="79" t="s">
        <v>15</v>
      </c>
      <c r="E9" s="79" t="s">
        <v>10</v>
      </c>
      <c r="F9" s="79">
        <v>72.180000000000007</v>
      </c>
      <c r="G9" s="81">
        <f t="shared" si="0"/>
        <v>150.56026200000002</v>
      </c>
      <c r="H9" s="79">
        <v>41.56</v>
      </c>
      <c r="I9" s="81">
        <f t="shared" si="12"/>
        <v>86.690004000000002</v>
      </c>
      <c r="J9" s="79">
        <v>28.43</v>
      </c>
      <c r="K9" s="81">
        <f t="shared" si="1"/>
        <v>59.302137000000002</v>
      </c>
      <c r="L9" s="79">
        <v>28.43</v>
      </c>
      <c r="M9" s="81">
        <f t="shared" si="2"/>
        <v>59.302137000000002</v>
      </c>
      <c r="N9" s="79">
        <v>30.62</v>
      </c>
      <c r="O9" s="81">
        <f t="shared" si="3"/>
        <v>63.870258000000007</v>
      </c>
      <c r="P9" s="79">
        <v>2.1800000000000002</v>
      </c>
      <c r="Q9" s="81">
        <f t="shared" si="4"/>
        <v>4.5472620000000008</v>
      </c>
      <c r="R9" s="79">
        <v>39.369999999999997</v>
      </c>
      <c r="S9" s="81">
        <f t="shared" si="5"/>
        <v>82.121882999999997</v>
      </c>
      <c r="T9" s="79">
        <v>41.56</v>
      </c>
      <c r="U9" s="81">
        <f t="shared" si="6"/>
        <v>86.690004000000002</v>
      </c>
      <c r="V9" s="79"/>
      <c r="W9" s="81">
        <f t="shared" si="7"/>
        <v>0</v>
      </c>
      <c r="X9" s="79"/>
      <c r="Y9" s="81">
        <f t="shared" si="8"/>
        <v>0</v>
      </c>
      <c r="Z9" s="79"/>
      <c r="AA9" s="81">
        <f t="shared" si="9"/>
        <v>0</v>
      </c>
      <c r="AB9" s="79"/>
      <c r="AC9" s="81">
        <f t="shared" si="10"/>
        <v>0</v>
      </c>
      <c r="AD9" s="82">
        <f t="shared" si="11"/>
        <v>593.08394700000008</v>
      </c>
      <c r="AE9" s="79" t="s">
        <v>30</v>
      </c>
    </row>
    <row r="10" spans="1:44" s="60" customFormat="1" ht="25" customHeight="1">
      <c r="A10" s="92"/>
      <c r="B10" s="79" t="s">
        <v>70</v>
      </c>
      <c r="C10" s="84">
        <v>0.32379999999999998</v>
      </c>
      <c r="D10" s="59" t="s">
        <v>16</v>
      </c>
      <c r="E10" s="59" t="s">
        <v>11</v>
      </c>
      <c r="F10" s="59">
        <v>228</v>
      </c>
      <c r="G10" s="76">
        <f t="shared" si="0"/>
        <v>73.826399999999992</v>
      </c>
      <c r="H10" s="59">
        <v>183</v>
      </c>
      <c r="I10" s="76">
        <f t="shared" si="12"/>
        <v>59.255399999999995</v>
      </c>
      <c r="J10" s="59">
        <v>252</v>
      </c>
      <c r="K10" s="76">
        <f t="shared" si="1"/>
        <v>81.5976</v>
      </c>
      <c r="L10" s="59">
        <v>33.75</v>
      </c>
      <c r="M10" s="76">
        <f t="shared" si="2"/>
        <v>10.928249999999998</v>
      </c>
      <c r="N10" s="59">
        <v>28.5</v>
      </c>
      <c r="O10" s="76">
        <f t="shared" si="3"/>
        <v>9.2282999999999991</v>
      </c>
      <c r="P10" s="59">
        <v>44.25</v>
      </c>
      <c r="Q10" s="76">
        <f t="shared" si="4"/>
        <v>14.328149999999999</v>
      </c>
      <c r="R10" s="59">
        <v>97.5</v>
      </c>
      <c r="S10" s="76">
        <f t="shared" si="5"/>
        <v>31.570499999999999</v>
      </c>
      <c r="T10" s="59">
        <v>143.25</v>
      </c>
      <c r="U10" s="76">
        <f t="shared" si="6"/>
        <v>46.384349999999998</v>
      </c>
      <c r="V10" s="59"/>
      <c r="W10" s="76">
        <f t="shared" si="7"/>
        <v>0</v>
      </c>
      <c r="X10" s="59"/>
      <c r="Y10" s="76">
        <f t="shared" si="8"/>
        <v>0</v>
      </c>
      <c r="Z10" s="59"/>
      <c r="AA10" s="76">
        <f t="shared" si="9"/>
        <v>0</v>
      </c>
      <c r="AB10" s="59"/>
      <c r="AC10" s="76">
        <f t="shared" si="10"/>
        <v>0</v>
      </c>
      <c r="AD10" s="78">
        <f t="shared" si="11"/>
        <v>327.11894999999993</v>
      </c>
      <c r="AE10" s="59" t="s">
        <v>30</v>
      </c>
    </row>
    <row r="11" spans="1:44" s="55" customFormat="1" ht="25" customHeight="1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4">
        <f>SUM(AD6:AD10)</f>
        <v>52182.422562999993</v>
      </c>
      <c r="AE11" s="63"/>
    </row>
    <row r="12" spans="1:44" s="52" customFormat="1" ht="25" customHeight="1">
      <c r="A12" s="53"/>
      <c r="B12" s="65"/>
      <c r="C12" s="66"/>
      <c r="D12" s="54"/>
      <c r="E12" s="54"/>
      <c r="F12" s="54"/>
      <c r="G12" s="67"/>
      <c r="H12" s="54"/>
      <c r="I12" s="67"/>
      <c r="J12" s="54"/>
      <c r="K12" s="67"/>
      <c r="L12" s="54"/>
      <c r="M12" s="67"/>
      <c r="N12" s="54"/>
      <c r="O12" s="67"/>
      <c r="P12" s="54"/>
      <c r="Q12" s="67"/>
      <c r="R12" s="54"/>
      <c r="S12" s="67"/>
      <c r="T12" s="54"/>
      <c r="U12" s="67"/>
      <c r="V12" s="54"/>
      <c r="W12" s="67"/>
      <c r="X12" s="54"/>
      <c r="Y12" s="67"/>
      <c r="Z12" s="54"/>
      <c r="AA12" s="67"/>
      <c r="AB12" s="54"/>
      <c r="AC12" s="67"/>
      <c r="AD12" s="68"/>
      <c r="AE12" s="54"/>
      <c r="AR12" s="53"/>
    </row>
    <row r="13" spans="1:44" s="52" customFormat="1" ht="25" customHeight="1">
      <c r="A13" s="53"/>
      <c r="B13" s="65"/>
      <c r="C13" s="66"/>
      <c r="D13" s="54"/>
      <c r="E13" s="54"/>
      <c r="F13" s="54"/>
      <c r="G13" s="67"/>
      <c r="H13" s="54"/>
      <c r="I13" s="67"/>
      <c r="J13" s="54"/>
      <c r="K13" s="67"/>
      <c r="L13" s="54"/>
      <c r="M13" s="67"/>
      <c r="N13" s="54"/>
      <c r="O13" s="67"/>
      <c r="P13" s="54"/>
      <c r="Q13" s="67"/>
      <c r="R13" s="54"/>
      <c r="S13" s="67"/>
      <c r="T13" s="54"/>
      <c r="U13" s="67"/>
      <c r="V13" s="54"/>
      <c r="W13" s="67"/>
      <c r="X13" s="54"/>
      <c r="Y13" s="67"/>
      <c r="Z13" s="54"/>
      <c r="AA13" s="67"/>
      <c r="AB13" s="54"/>
      <c r="AC13" s="67"/>
      <c r="AD13" s="68"/>
      <c r="AE13" s="54"/>
      <c r="AR13" s="53"/>
    </row>
    <row r="14" spans="1:44" ht="25" customHeight="1">
      <c r="G14" s="41"/>
      <c r="AR14" s="40"/>
    </row>
    <row r="15" spans="1:44" ht="25" customHeight="1">
      <c r="B15" s="86" t="s">
        <v>88</v>
      </c>
      <c r="C15" s="86"/>
      <c r="D15" s="86"/>
      <c r="E15" s="86"/>
      <c r="F15" s="62" t="s">
        <v>84</v>
      </c>
      <c r="K15" s="87"/>
      <c r="L15" s="87"/>
      <c r="M15" s="87"/>
      <c r="N15" s="87"/>
      <c r="O15" s="56"/>
      <c r="P15" s="87"/>
      <c r="Q15" s="87"/>
      <c r="R15" s="87"/>
      <c r="S15" s="87"/>
      <c r="AR15" s="40"/>
    </row>
    <row r="16" spans="1:44" ht="25" customHeight="1">
      <c r="B16" s="58" t="s">
        <v>83</v>
      </c>
      <c r="C16" s="58" t="s">
        <v>29</v>
      </c>
      <c r="D16" s="58" t="s">
        <v>60</v>
      </c>
      <c r="E16" s="58" t="s">
        <v>3</v>
      </c>
      <c r="K16" s="38"/>
      <c r="L16" s="38"/>
      <c r="M16" s="38"/>
      <c r="N16" s="38"/>
      <c r="O16" s="56"/>
      <c r="P16" s="38"/>
      <c r="Q16" s="38"/>
      <c r="R16" s="38"/>
      <c r="S16" s="38"/>
      <c r="AR16" s="40"/>
    </row>
    <row r="17" spans="1:49" ht="25" customHeight="1">
      <c r="B17" s="42" t="s">
        <v>4</v>
      </c>
      <c r="C17" s="50">
        <f>(SUM(AD6:AD7))/1000</f>
        <v>2.8533284159999996</v>
      </c>
      <c r="D17" s="51">
        <f>(C17*100)/$C$20</f>
        <v>5.4679876400049592</v>
      </c>
      <c r="E17" s="42" t="s">
        <v>30</v>
      </c>
      <c r="K17" s="45"/>
      <c r="L17" s="46"/>
      <c r="M17" s="47"/>
      <c r="N17" s="45"/>
      <c r="O17" s="56"/>
      <c r="P17" s="45"/>
      <c r="Q17" s="46"/>
      <c r="R17" s="47"/>
      <c r="S17" s="45"/>
      <c r="AR17" s="36"/>
    </row>
    <row r="18" spans="1:49" ht="25" customHeight="1">
      <c r="B18" s="42" t="s">
        <v>6</v>
      </c>
      <c r="C18" s="43">
        <f>$AD$8/1000</f>
        <v>48.408891250000003</v>
      </c>
      <c r="D18" s="44">
        <f>(C18*100)/$C$20</f>
        <v>92.768577755384584</v>
      </c>
      <c r="E18" s="42" t="s">
        <v>30</v>
      </c>
      <c r="K18" s="45"/>
      <c r="L18" s="46"/>
      <c r="M18" s="47"/>
      <c r="N18" s="45"/>
      <c r="O18" s="56"/>
      <c r="P18" s="45"/>
      <c r="Q18" s="46"/>
      <c r="R18" s="47"/>
      <c r="S18" s="45"/>
      <c r="AW18" s="39"/>
    </row>
    <row r="19" spans="1:49" ht="25" customHeight="1">
      <c r="B19" s="42" t="s">
        <v>9</v>
      </c>
      <c r="C19" s="50">
        <f>SUM(AD9:AD10)/1000</f>
        <v>0.92020289700000002</v>
      </c>
      <c r="D19" s="51">
        <f>(C19*100)/$C$20</f>
        <v>1.763434604610463</v>
      </c>
      <c r="E19" s="42" t="s">
        <v>30</v>
      </c>
      <c r="K19" s="45"/>
      <c r="L19" s="46"/>
      <c r="M19" s="47"/>
      <c r="N19" s="45"/>
      <c r="O19" s="56"/>
      <c r="P19" s="45"/>
      <c r="Q19" s="46"/>
      <c r="R19" s="47"/>
      <c r="S19" s="45"/>
      <c r="AW19" s="39"/>
    </row>
    <row r="20" spans="1:49" ht="25" customHeight="1">
      <c r="B20" s="42" t="s">
        <v>28</v>
      </c>
      <c r="C20" s="43">
        <f>SUM(C17:C19)</f>
        <v>52.182422563000003</v>
      </c>
      <c r="D20" s="44">
        <f>(C20*100)/$C$20</f>
        <v>100</v>
      </c>
      <c r="E20" s="42" t="s">
        <v>30</v>
      </c>
      <c r="K20" s="45"/>
      <c r="L20" s="46"/>
      <c r="M20" s="47"/>
      <c r="N20" s="45"/>
      <c r="O20" s="56"/>
      <c r="P20" s="45"/>
      <c r="Q20" s="46"/>
      <c r="R20" s="47"/>
      <c r="S20" s="45"/>
      <c r="AW20" s="39"/>
    </row>
    <row r="21" spans="1:49" ht="25" customHeight="1">
      <c r="AW21" s="39"/>
    </row>
    <row r="22" spans="1:49" ht="25" customHeight="1">
      <c r="AW22" s="39"/>
    </row>
    <row r="23" spans="1:49" ht="25" customHeight="1">
      <c r="AW23" s="39"/>
    </row>
    <row r="24" spans="1:49" ht="25" customHeight="1">
      <c r="AW24" s="39"/>
    </row>
    <row r="25" spans="1:49" ht="25" customHeight="1">
      <c r="A25" s="69"/>
      <c r="B25" s="56"/>
      <c r="AW25" s="39"/>
    </row>
    <row r="26" spans="1:49" ht="25" customHeight="1">
      <c r="A26" s="48"/>
      <c r="B26" s="46"/>
      <c r="AW26" s="39"/>
    </row>
    <row r="27" spans="1:49" ht="25" customHeight="1">
      <c r="A27" s="48"/>
      <c r="B27" s="46"/>
      <c r="AW27" s="39"/>
    </row>
    <row r="28" spans="1:49" ht="25" customHeight="1">
      <c r="A28" s="48"/>
      <c r="B28" s="46"/>
      <c r="AW28" s="39"/>
    </row>
    <row r="29" spans="1:49" ht="25" customHeight="1">
      <c r="A29" s="69"/>
      <c r="B29" s="56"/>
      <c r="AW29" s="39"/>
    </row>
    <row r="30" spans="1:49" ht="25" customHeight="1">
      <c r="A30" s="69"/>
      <c r="B30" s="56"/>
      <c r="AW30" s="39"/>
    </row>
    <row r="31" spans="1:49" ht="25" customHeight="1">
      <c r="AW31" s="39"/>
    </row>
  </sheetData>
  <mergeCells count="20">
    <mergeCell ref="A6:A7"/>
    <mergeCell ref="A9:A10"/>
    <mergeCell ref="A2:AE2"/>
    <mergeCell ref="A3:A5"/>
    <mergeCell ref="B3:B5"/>
    <mergeCell ref="C3:C5"/>
    <mergeCell ref="D3:D5"/>
    <mergeCell ref="E3:E5"/>
    <mergeCell ref="F3:AD3"/>
    <mergeCell ref="T4:U4"/>
    <mergeCell ref="V4:W4"/>
    <mergeCell ref="AD4:AD5"/>
    <mergeCell ref="R4:S4"/>
    <mergeCell ref="AE3:AE5"/>
    <mergeCell ref="AB4:AC4"/>
    <mergeCell ref="B15:E15"/>
    <mergeCell ref="K15:N15"/>
    <mergeCell ref="P15:S15"/>
    <mergeCell ref="X4:Y4"/>
    <mergeCell ref="Z4:AA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R29"/>
  <sheetViews>
    <sheetView zoomScale="70" zoomScaleNormal="70" workbookViewId="0">
      <selection activeCell="Q8" sqref="Q8"/>
    </sheetView>
  </sheetViews>
  <sheetFormatPr defaultColWidth="25.36328125" defaultRowHeight="24.5"/>
  <cols>
    <col min="1" max="1" width="41" style="6" customWidth="1"/>
    <col min="2" max="2" width="21.6328125" style="6" customWidth="1"/>
    <col min="3" max="15" width="10.6328125" style="6" customWidth="1"/>
    <col min="16" max="16" width="3.08984375" style="6" customWidth="1"/>
    <col min="17" max="17" width="13" style="6" customWidth="1"/>
    <col min="18" max="16384" width="25.36328125" style="6"/>
  </cols>
  <sheetData>
    <row r="1" spans="1:18" ht="29">
      <c r="A1" s="5" t="s">
        <v>33</v>
      </c>
      <c r="B1" s="3" t="s">
        <v>34</v>
      </c>
      <c r="C1" s="3" t="s">
        <v>35</v>
      </c>
      <c r="D1" s="3" t="s">
        <v>36</v>
      </c>
      <c r="E1" s="3" t="s">
        <v>37</v>
      </c>
      <c r="F1" s="3" t="s">
        <v>38</v>
      </c>
      <c r="G1" s="3" t="s">
        <v>39</v>
      </c>
      <c r="H1" s="3" t="s">
        <v>40</v>
      </c>
      <c r="I1" s="3" t="s">
        <v>41</v>
      </c>
      <c r="J1" s="3" t="s">
        <v>42</v>
      </c>
      <c r="K1" s="3" t="s">
        <v>43</v>
      </c>
      <c r="L1" s="3" t="s">
        <v>44</v>
      </c>
      <c r="M1" s="3" t="s">
        <v>45</v>
      </c>
      <c r="N1" s="3" t="s">
        <v>46</v>
      </c>
      <c r="O1" s="2" t="s">
        <v>47</v>
      </c>
      <c r="Q1" s="23" t="s">
        <v>73</v>
      </c>
    </row>
    <row r="2" spans="1:18" ht="29">
      <c r="B2" s="4" t="s">
        <v>62</v>
      </c>
      <c r="C2" s="20">
        <v>20</v>
      </c>
      <c r="D2" s="20">
        <v>20</v>
      </c>
      <c r="E2" s="20">
        <v>21</v>
      </c>
      <c r="F2" s="20">
        <v>22</v>
      </c>
      <c r="G2" s="20">
        <v>21</v>
      </c>
      <c r="H2" s="20">
        <v>23</v>
      </c>
      <c r="I2" s="20">
        <v>23</v>
      </c>
      <c r="J2" s="20">
        <v>21</v>
      </c>
      <c r="K2" s="20"/>
      <c r="L2" s="20"/>
      <c r="M2" s="20"/>
      <c r="N2" s="20"/>
      <c r="O2" s="1">
        <f>SUM(C2:N2)</f>
        <v>171</v>
      </c>
      <c r="Q2" s="22">
        <f>D23*E23*F23*H23*I23</f>
        <v>1.2E-2</v>
      </c>
      <c r="R2" s="6" t="s">
        <v>75</v>
      </c>
    </row>
    <row r="3" spans="1:18">
      <c r="B3" s="4" t="s">
        <v>61</v>
      </c>
      <c r="C3" s="20">
        <v>15</v>
      </c>
      <c r="D3" s="20">
        <v>15</v>
      </c>
      <c r="E3" s="20">
        <v>15</v>
      </c>
      <c r="F3" s="20">
        <v>7</v>
      </c>
      <c r="G3" s="20">
        <v>7</v>
      </c>
      <c r="H3" s="20">
        <v>7</v>
      </c>
      <c r="I3" s="20">
        <v>15</v>
      </c>
      <c r="J3" s="20">
        <v>15</v>
      </c>
      <c r="K3" s="20">
        <v>15</v>
      </c>
      <c r="L3" s="20">
        <v>15</v>
      </c>
      <c r="M3" s="20">
        <v>15</v>
      </c>
      <c r="N3" s="20">
        <v>15</v>
      </c>
      <c r="O3" s="1">
        <f>SUM(C3:N3)</f>
        <v>156</v>
      </c>
      <c r="P3" s="7"/>
    </row>
    <row r="4" spans="1:18">
      <c r="B4" s="33" t="s">
        <v>54</v>
      </c>
      <c r="C4" s="21">
        <f t="shared" ref="C4:N4" si="0">C2*C3*$Q$2</f>
        <v>3.6</v>
      </c>
      <c r="D4" s="21">
        <f t="shared" si="0"/>
        <v>3.6</v>
      </c>
      <c r="E4" s="21">
        <f t="shared" si="0"/>
        <v>3.7800000000000002</v>
      </c>
      <c r="F4" s="21">
        <f t="shared" si="0"/>
        <v>1.8480000000000001</v>
      </c>
      <c r="G4" s="21">
        <f t="shared" si="0"/>
        <v>1.764</v>
      </c>
      <c r="H4" s="21">
        <f t="shared" si="0"/>
        <v>1.9319999999999999</v>
      </c>
      <c r="I4" s="21">
        <f t="shared" si="0"/>
        <v>4.1399999999999997</v>
      </c>
      <c r="J4" s="21">
        <f t="shared" si="0"/>
        <v>3.7800000000000002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1">
        <f>SUM(C4:N4)</f>
        <v>24.444000000000003</v>
      </c>
    </row>
    <row r="5" spans="1:18">
      <c r="B5" s="8" t="s">
        <v>63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9" spans="1:18">
      <c r="A9" s="9" t="s">
        <v>56</v>
      </c>
    </row>
    <row r="10" spans="1:18" ht="98">
      <c r="A10" s="10" t="s">
        <v>52</v>
      </c>
    </row>
    <row r="12" spans="1:18" ht="98">
      <c r="A12" s="10" t="s">
        <v>53</v>
      </c>
    </row>
    <row r="14" spans="1:18" ht="54.75" customHeight="1">
      <c r="A14" s="10" t="s">
        <v>74</v>
      </c>
    </row>
    <row r="22" spans="1:10" ht="73.5">
      <c r="B22" s="11"/>
      <c r="C22" s="11"/>
      <c r="D22" s="12" t="s">
        <v>49</v>
      </c>
      <c r="E22" s="12" t="s">
        <v>50</v>
      </c>
      <c r="F22" s="12" t="s">
        <v>51</v>
      </c>
      <c r="G22" s="13" t="s">
        <v>55</v>
      </c>
      <c r="H22" s="13" t="s">
        <v>72</v>
      </c>
      <c r="I22" s="14">
        <v>1E-3</v>
      </c>
      <c r="J22" s="13" t="s">
        <v>71</v>
      </c>
    </row>
    <row r="23" spans="1:10">
      <c r="A23" s="34" t="s">
        <v>54</v>
      </c>
      <c r="B23" s="15" t="s">
        <v>10</v>
      </c>
      <c r="C23" s="16">
        <f>D23*E23*F23*H23*I23*J23</f>
        <v>2.052</v>
      </c>
      <c r="D23" s="17">
        <v>1</v>
      </c>
      <c r="E23" s="17">
        <v>1</v>
      </c>
      <c r="F23" s="17">
        <v>0.3</v>
      </c>
      <c r="G23" s="18">
        <f>O3</f>
        <v>156</v>
      </c>
      <c r="H23" s="17">
        <v>40</v>
      </c>
      <c r="I23" s="17">
        <f>I22</f>
        <v>1E-3</v>
      </c>
      <c r="J23" s="17">
        <f>O2</f>
        <v>171</v>
      </c>
    </row>
    <row r="27" spans="1:10" ht="28.5" customHeight="1"/>
    <row r="29" spans="1:10" ht="43.5" customHeight="1">
      <c r="D29" s="19">
        <f>D23*E23*F23*G23*H23*J23</f>
        <v>320112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14"/>
  <sheetViews>
    <sheetView topLeftCell="A7" zoomScale="130" zoomScaleNormal="130" workbookViewId="0">
      <selection activeCell="C3" sqref="C3"/>
    </sheetView>
  </sheetViews>
  <sheetFormatPr defaultColWidth="9" defaultRowHeight="24.5"/>
  <cols>
    <col min="1" max="1" width="25" style="6" customWidth="1"/>
    <col min="2" max="2" width="10" style="6" customWidth="1"/>
    <col min="3" max="3" width="7.7265625" style="6" customWidth="1"/>
    <col min="4" max="14" width="6.6328125" style="6" customWidth="1"/>
    <col min="15" max="16384" width="9" style="6"/>
  </cols>
  <sheetData>
    <row r="1" spans="1:15">
      <c r="A1" s="102" t="s">
        <v>76</v>
      </c>
      <c r="B1" s="103"/>
    </row>
    <row r="2" spans="1:15">
      <c r="A2" s="103"/>
      <c r="B2" s="103"/>
      <c r="C2" s="17" t="s">
        <v>18</v>
      </c>
      <c r="D2" s="17" t="s">
        <v>19</v>
      </c>
      <c r="E2" s="17" t="s">
        <v>20</v>
      </c>
      <c r="F2" s="17" t="s">
        <v>21</v>
      </c>
      <c r="G2" s="17" t="s">
        <v>64</v>
      </c>
      <c r="H2" s="17" t="s">
        <v>65</v>
      </c>
      <c r="I2" s="17" t="s">
        <v>23</v>
      </c>
      <c r="J2" s="17" t="s">
        <v>24</v>
      </c>
      <c r="K2" s="17" t="s">
        <v>25</v>
      </c>
      <c r="L2" s="17" t="s">
        <v>26</v>
      </c>
      <c r="M2" s="17" t="s">
        <v>22</v>
      </c>
      <c r="N2" s="17" t="s">
        <v>27</v>
      </c>
      <c r="O2" s="17" t="s">
        <v>28</v>
      </c>
    </row>
    <row r="3" spans="1:15">
      <c r="A3" s="6" t="s">
        <v>68</v>
      </c>
      <c r="C3" s="17">
        <v>500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>
      <c r="A4" s="6" t="s">
        <v>69</v>
      </c>
      <c r="C4" s="29">
        <f>C3*0.8</f>
        <v>400</v>
      </c>
      <c r="D4" s="29">
        <f t="shared" ref="D4:O4" si="0">D3*0.8</f>
        <v>0</v>
      </c>
      <c r="E4" s="29">
        <f t="shared" si="0"/>
        <v>0</v>
      </c>
      <c r="F4" s="29">
        <f t="shared" si="0"/>
        <v>0</v>
      </c>
      <c r="G4" s="29">
        <f t="shared" si="0"/>
        <v>0</v>
      </c>
      <c r="H4" s="29">
        <f t="shared" si="0"/>
        <v>0</v>
      </c>
      <c r="I4" s="29">
        <f t="shared" si="0"/>
        <v>0</v>
      </c>
      <c r="J4" s="29">
        <f t="shared" si="0"/>
        <v>0</v>
      </c>
      <c r="K4" s="29">
        <f t="shared" si="0"/>
        <v>0</v>
      </c>
      <c r="L4" s="29">
        <f t="shared" si="0"/>
        <v>0</v>
      </c>
      <c r="M4" s="29">
        <f t="shared" si="0"/>
        <v>0</v>
      </c>
      <c r="N4" s="29">
        <f t="shared" si="0"/>
        <v>0</v>
      </c>
      <c r="O4" s="29">
        <f t="shared" si="0"/>
        <v>0</v>
      </c>
    </row>
    <row r="5" spans="1:15">
      <c r="A5" s="6" t="s">
        <v>57</v>
      </c>
    </row>
    <row r="7" spans="1:15">
      <c r="A7" s="30" t="s">
        <v>77</v>
      </c>
      <c r="L7" s="25"/>
    </row>
    <row r="8" spans="1:15">
      <c r="A8" s="26" t="s">
        <v>66</v>
      </c>
    </row>
    <row r="9" spans="1:15">
      <c r="A9" s="26" t="s">
        <v>78</v>
      </c>
    </row>
    <row r="10" spans="1:15">
      <c r="A10" s="26" t="s">
        <v>67</v>
      </c>
    </row>
    <row r="11" spans="1:15">
      <c r="A11" s="24" t="s">
        <v>79</v>
      </c>
      <c r="B11" s="27" t="s">
        <v>18</v>
      </c>
      <c r="C11" s="17" t="s">
        <v>19</v>
      </c>
      <c r="D11" s="17" t="s">
        <v>20</v>
      </c>
      <c r="E11" s="17" t="s">
        <v>21</v>
      </c>
      <c r="F11" s="17" t="s">
        <v>64</v>
      </c>
      <c r="G11" s="17" t="s">
        <v>65</v>
      </c>
      <c r="H11" s="17" t="s">
        <v>23</v>
      </c>
      <c r="I11" s="17" t="s">
        <v>24</v>
      </c>
      <c r="J11" s="17" t="s">
        <v>25</v>
      </c>
      <c r="K11" s="17" t="s">
        <v>26</v>
      </c>
      <c r="L11" s="17" t="s">
        <v>22</v>
      </c>
      <c r="M11" s="17" t="s">
        <v>27</v>
      </c>
      <c r="N11" s="17" t="s">
        <v>28</v>
      </c>
    </row>
    <row r="12" spans="1:15">
      <c r="A12" s="6" t="s">
        <v>58</v>
      </c>
      <c r="B12" s="29">
        <f t="shared" ref="B12:N12" si="1">C4</f>
        <v>400</v>
      </c>
      <c r="C12" s="29">
        <f t="shared" si="1"/>
        <v>0</v>
      </c>
      <c r="D12" s="29">
        <f t="shared" si="1"/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  <c r="J12" s="29">
        <f t="shared" si="1"/>
        <v>0</v>
      </c>
      <c r="K12" s="29">
        <f t="shared" si="1"/>
        <v>0</v>
      </c>
      <c r="L12" s="29">
        <f t="shared" si="1"/>
        <v>0</v>
      </c>
      <c r="M12" s="29">
        <f t="shared" si="1"/>
        <v>0</v>
      </c>
      <c r="N12" s="29">
        <f t="shared" si="1"/>
        <v>0</v>
      </c>
    </row>
    <row r="13" spans="1:15">
      <c r="A13" s="32" t="s">
        <v>59</v>
      </c>
      <c r="B13" s="28">
        <f>0.2*B12*0.12</f>
        <v>9.6</v>
      </c>
      <c r="C13" s="28">
        <f t="shared" ref="C13:N13" si="2">0.2*C12*0.12</f>
        <v>0</v>
      </c>
      <c r="D13" s="28">
        <f t="shared" si="2"/>
        <v>0</v>
      </c>
      <c r="E13" s="28">
        <f t="shared" si="2"/>
        <v>0</v>
      </c>
      <c r="F13" s="28">
        <f t="shared" si="2"/>
        <v>0</v>
      </c>
      <c r="G13" s="28">
        <f t="shared" si="2"/>
        <v>0</v>
      </c>
      <c r="H13" s="28">
        <f t="shared" si="2"/>
        <v>0</v>
      </c>
      <c r="I13" s="28">
        <f t="shared" si="2"/>
        <v>0</v>
      </c>
      <c r="J13" s="28">
        <f t="shared" si="2"/>
        <v>0</v>
      </c>
      <c r="K13" s="28">
        <f t="shared" si="2"/>
        <v>0</v>
      </c>
      <c r="L13" s="28">
        <f t="shared" si="2"/>
        <v>0</v>
      </c>
      <c r="M13" s="28">
        <f t="shared" si="2"/>
        <v>0</v>
      </c>
      <c r="N13" s="28">
        <f t="shared" si="2"/>
        <v>0</v>
      </c>
    </row>
    <row r="14" spans="1:15">
      <c r="B14" s="31"/>
    </row>
  </sheetData>
  <mergeCells count="1">
    <mergeCell ref="A1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สรุปการคำนวณ</vt:lpstr>
      <vt:lpstr>CH4จากระบบ septic tank</vt:lpstr>
      <vt:lpstr>CH4จากบ่อบำบัดไม่เติมอากาศ</vt:lpstr>
      <vt:lpstr>สรุปการคำนวณ!Print_Area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thada</dc:creator>
  <cp:lastModifiedBy>User</cp:lastModifiedBy>
  <cp:lastPrinted>2019-01-08T10:41:32Z</cp:lastPrinted>
  <dcterms:created xsi:type="dcterms:W3CDTF">2015-02-17T07:08:20Z</dcterms:created>
  <dcterms:modified xsi:type="dcterms:W3CDTF">2020-09-17T09:18:28Z</dcterms:modified>
</cp:coreProperties>
</file>